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155" windowHeight="85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23" i="1" l="1"/>
  <c r="J22" i="1"/>
  <c r="H22" i="1"/>
  <c r="F22" i="1"/>
  <c r="H21" i="1"/>
  <c r="H24" i="1" s="1"/>
  <c r="H26" i="1" s="1"/>
  <c r="F21" i="1"/>
  <c r="J20" i="1"/>
  <c r="J24" i="1" s="1"/>
  <c r="J26" i="1" s="1"/>
  <c r="H20" i="1"/>
  <c r="F20" i="1"/>
  <c r="F24" i="1" s="1"/>
  <c r="F26" i="1" s="1"/>
  <c r="C16" i="1"/>
  <c r="J15" i="1"/>
  <c r="H15" i="1"/>
  <c r="O14" i="1"/>
  <c r="O13" i="1"/>
  <c r="N13" i="1"/>
  <c r="J13" i="1"/>
  <c r="H13" i="1"/>
  <c r="F13" i="1"/>
  <c r="O12" i="1"/>
  <c r="O16" i="1" s="1"/>
  <c r="N12" i="1"/>
  <c r="N16" i="1" s="1"/>
  <c r="D12" i="1"/>
  <c r="D16" i="1" s="1"/>
  <c r="L11" i="1"/>
  <c r="J11" i="1"/>
  <c r="H11" i="1"/>
  <c r="N8" i="1"/>
  <c r="M8" i="1"/>
  <c r="L8" i="1"/>
  <c r="J8" i="1"/>
  <c r="H8" i="1"/>
  <c r="F8" i="1"/>
  <c r="D8" i="1"/>
  <c r="C8" i="1"/>
  <c r="N17" i="1" l="1"/>
  <c r="O17" i="1"/>
  <c r="O5" i="1" s="1"/>
  <c r="O8" i="1" s="1"/>
</calcChain>
</file>

<file path=xl/sharedStrings.xml><?xml version="1.0" encoding="utf-8"?>
<sst xmlns="http://schemas.openxmlformats.org/spreadsheetml/2006/main" count="32" uniqueCount="27">
  <si>
    <t>Stichting Wijkmuseum Soesterkwartier</t>
  </si>
  <si>
    <t>ANBI fin overzicht 2023 , vergeleken met 2022</t>
  </si>
  <si>
    <t>BALANS - ACTIVA</t>
  </si>
  <si>
    <t>2023</t>
  </si>
  <si>
    <t>BALANS - PASSIVA</t>
  </si>
  <si>
    <t>ING bank</t>
  </si>
  <si>
    <t>stichtingsreserve 1 jan.</t>
  </si>
  <si>
    <t>spaarrekening ING</t>
  </si>
  <si>
    <t>resultaat boekjaar</t>
  </si>
  <si>
    <t>nog te ontv. Subsidies</t>
  </si>
  <si>
    <t>te betalen/vooruitontv posten</t>
  </si>
  <si>
    <t>voorziening schade/sluiting</t>
  </si>
  <si>
    <t>TOTAAL:</t>
  </si>
  <si>
    <t>BATEN</t>
  </si>
  <si>
    <t>2021</t>
  </si>
  <si>
    <t>LASTEN</t>
  </si>
  <si>
    <t>opbrengst eigen activiteiten</t>
  </si>
  <si>
    <t>huisvestingslasten</t>
  </si>
  <si>
    <t>verhuur</t>
  </si>
  <si>
    <t>organisatorische kosten</t>
  </si>
  <si>
    <t>subsidies incidenteel</t>
  </si>
  <si>
    <t>kosten eigen activiteiten</t>
  </si>
  <si>
    <t>rente</t>
  </si>
  <si>
    <t>kosten gesubs. activiteiten</t>
  </si>
  <si>
    <t xml:space="preserve">saldo baten minus lasten </t>
  </si>
  <si>
    <t>NB: het wijkmuseum draait geheel op vrijwilligers; er zijn geen personele kosten</t>
  </si>
  <si>
    <t>NB: zonder de corona-bijdragen was ons verlies over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</si>
</sst>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43" fontId="3" fillId="0" borderId="0" xfId="1" applyFont="1"/>
    <xf numFmtId="0" fontId="0" fillId="0" borderId="0" xfId="0" applyFill="1"/>
    <xf numFmtId="0" fontId="2" fillId="0" borderId="0" xfId="0" applyFont="1"/>
    <xf numFmtId="43" fontId="2" fillId="0" borderId="0" xfId="1" applyFont="1"/>
    <xf numFmtId="0" fontId="2" fillId="2" borderId="1" xfId="0" applyFont="1" applyFill="1" applyBorder="1"/>
    <xf numFmtId="164" fontId="2" fillId="2" borderId="2" xfId="1" quotePrefix="1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0" borderId="0" xfId="0" applyFont="1" applyFill="1" applyBorder="1"/>
    <xf numFmtId="43" fontId="2" fillId="2" borderId="2" xfId="1" quotePrefix="1" applyFont="1" applyFill="1" applyBorder="1" applyAlignment="1">
      <alignment horizontal="right"/>
    </xf>
    <xf numFmtId="0" fontId="0" fillId="0" borderId="3" xfId="0" applyBorder="1"/>
    <xf numFmtId="43" fontId="0" fillId="0" borderId="4" xfId="1" applyFont="1" applyBorder="1"/>
    <xf numFmtId="43" fontId="0" fillId="0" borderId="0" xfId="1" applyFont="1" applyFill="1" applyBorder="1"/>
    <xf numFmtId="43" fontId="0" fillId="0" borderId="5" xfId="1" applyFont="1" applyBorder="1"/>
    <xf numFmtId="165" fontId="0" fillId="0" borderId="4" xfId="0" applyNumberFormat="1" applyBorder="1"/>
    <xf numFmtId="0" fontId="2" fillId="0" borderId="1" xfId="0" applyFont="1" applyFill="1" applyBorder="1"/>
    <xf numFmtId="43" fontId="2" fillId="0" borderId="2" xfId="1" applyFont="1" applyFill="1" applyBorder="1"/>
    <xf numFmtId="43" fontId="2" fillId="0" borderId="0" xfId="1" applyFont="1" applyFill="1" applyBorder="1"/>
    <xf numFmtId="0" fontId="0" fillId="0" borderId="0" xfId="0" applyBorder="1"/>
    <xf numFmtId="43" fontId="0" fillId="0" borderId="0" xfId="1" applyFont="1" applyBorder="1"/>
    <xf numFmtId="43" fontId="0" fillId="0" borderId="3" xfId="1" applyFont="1" applyBorder="1"/>
    <xf numFmtId="43" fontId="0" fillId="0" borderId="0" xfId="1" applyFont="1"/>
    <xf numFmtId="43" fontId="2" fillId="2" borderId="1" xfId="1" quotePrefix="1" applyFont="1" applyFill="1" applyBorder="1" applyAlignment="1">
      <alignment horizontal="right"/>
    </xf>
    <xf numFmtId="164" fontId="2" fillId="0" borderId="0" xfId="1" quotePrefix="1" applyNumberFormat="1" applyFont="1" applyFill="1" applyBorder="1" applyAlignment="1">
      <alignment horizontal="right"/>
    </xf>
    <xf numFmtId="0" fontId="2" fillId="2" borderId="6" xfId="0" applyFont="1" applyFill="1" applyBorder="1"/>
    <xf numFmtId="0" fontId="0" fillId="2" borderId="2" xfId="0" applyFill="1" applyBorder="1"/>
    <xf numFmtId="0" fontId="0" fillId="0" borderId="0" xfId="0" applyFill="1" applyBorder="1"/>
    <xf numFmtId="0" fontId="0" fillId="0" borderId="4" xfId="0" applyBorder="1"/>
    <xf numFmtId="43" fontId="2" fillId="0" borderId="1" xfId="1" applyFont="1" applyFill="1" applyBorder="1"/>
    <xf numFmtId="43" fontId="2" fillId="3" borderId="0" xfId="1" applyFont="1" applyFill="1" applyBorder="1"/>
    <xf numFmtId="0" fontId="2" fillId="0" borderId="2" xfId="0" applyFont="1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2" fillId="0" borderId="4" xfId="1" applyFont="1" applyFill="1" applyBorder="1"/>
    <xf numFmtId="43" fontId="2" fillId="0" borderId="5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workbookViewId="0">
      <selection activeCell="M5" sqref="M5:O5"/>
    </sheetView>
  </sheetViews>
  <sheetFormatPr defaultRowHeight="15" x14ac:dyDescent="0.25"/>
  <cols>
    <col min="1" max="1" width="2.85546875" customWidth="1"/>
    <col min="2" max="2" width="27" customWidth="1"/>
    <col min="3" max="3" width="11.42578125" style="22" customWidth="1"/>
    <col min="4" max="4" width="11.42578125" customWidth="1"/>
    <col min="5" max="5" width="5.140625" customWidth="1"/>
    <col min="6" max="6" width="10.7109375" hidden="1" customWidth="1"/>
    <col min="7" max="7" width="1.140625" style="27" hidden="1" customWidth="1"/>
    <col min="8" max="8" width="10" hidden="1" customWidth="1"/>
    <col min="9" max="9" width="1.28515625" style="27" hidden="1" customWidth="1"/>
    <col min="10" max="10" width="10" hidden="1" customWidth="1"/>
    <col min="11" max="11" width="1.7109375" style="27" hidden="1" customWidth="1"/>
    <col min="12" max="12" width="10" hidden="1" customWidth="1"/>
    <col min="13" max="13" width="29.42578125" bestFit="1" customWidth="1"/>
    <col min="14" max="14" width="10" bestFit="1" customWidth="1"/>
    <col min="15" max="15" width="12" customWidth="1"/>
  </cols>
  <sheetData>
    <row r="1" spans="2:15" ht="24" customHeight="1" x14ac:dyDescent="0.3">
      <c r="B1" s="1" t="s">
        <v>0</v>
      </c>
      <c r="C1" s="2"/>
      <c r="D1" s="1"/>
      <c r="E1" s="1"/>
      <c r="G1" s="3"/>
      <c r="I1" s="3"/>
      <c r="K1" s="3"/>
    </row>
    <row r="2" spans="2:15" ht="18.75" x14ac:dyDescent="0.3">
      <c r="B2" s="4" t="s">
        <v>1</v>
      </c>
      <c r="C2" s="5"/>
      <c r="D2" s="4"/>
      <c r="E2" s="1"/>
      <c r="G2" s="3"/>
      <c r="I2" s="3"/>
      <c r="K2" s="3"/>
    </row>
    <row r="3" spans="2:15" s="4" customFormat="1" ht="18.75" x14ac:dyDescent="0.3">
      <c r="B3" s="6" t="s">
        <v>2</v>
      </c>
      <c r="C3" s="7" t="s">
        <v>3</v>
      </c>
      <c r="D3" s="8">
        <v>2022</v>
      </c>
      <c r="E3" s="1"/>
      <c r="F3" s="8">
        <v>2021</v>
      </c>
      <c r="G3" s="9"/>
      <c r="H3" s="8">
        <v>2020</v>
      </c>
      <c r="I3" s="9"/>
      <c r="J3" s="8">
        <v>2019</v>
      </c>
      <c r="K3" s="9"/>
      <c r="L3" s="8">
        <v>2018</v>
      </c>
      <c r="M3" s="8" t="s">
        <v>4</v>
      </c>
      <c r="N3" s="10" t="s">
        <v>3</v>
      </c>
      <c r="O3" s="8">
        <v>2022</v>
      </c>
    </row>
    <row r="4" spans="2:15" ht="18.75" x14ac:dyDescent="0.3">
      <c r="B4" s="11" t="s">
        <v>5</v>
      </c>
      <c r="C4" s="12">
        <v>901.8</v>
      </c>
      <c r="D4" s="12">
        <v>800.73</v>
      </c>
      <c r="E4" s="1"/>
      <c r="F4" s="12">
        <v>1079.1500000000001</v>
      </c>
      <c r="G4" s="13"/>
      <c r="H4" s="12">
        <v>807.67</v>
      </c>
      <c r="I4" s="13"/>
      <c r="J4" s="12">
        <v>937.42</v>
      </c>
      <c r="K4" s="13"/>
      <c r="L4" s="12">
        <v>568.21</v>
      </c>
      <c r="M4" s="12" t="s">
        <v>6</v>
      </c>
      <c r="N4" s="14">
        <v>6533.13</v>
      </c>
      <c r="O4" s="14">
        <v>9579.15</v>
      </c>
    </row>
    <row r="5" spans="2:15" ht="18.75" x14ac:dyDescent="0.3">
      <c r="B5" s="11" t="s">
        <v>7</v>
      </c>
      <c r="C5" s="12">
        <v>34362.69</v>
      </c>
      <c r="D5" s="12">
        <v>7175</v>
      </c>
      <c r="E5" s="1"/>
      <c r="F5" s="12">
        <v>13500</v>
      </c>
      <c r="G5" s="13"/>
      <c r="H5" s="12">
        <v>15986.26</v>
      </c>
      <c r="I5" s="13"/>
      <c r="J5" s="12">
        <v>15000</v>
      </c>
      <c r="K5" s="13"/>
      <c r="L5" s="12">
        <v>10685</v>
      </c>
      <c r="M5" s="34" t="s">
        <v>8</v>
      </c>
      <c r="N5" s="35">
        <v>-3501.24</v>
      </c>
      <c r="O5" s="35">
        <f>+O17</f>
        <v>-3046.02</v>
      </c>
    </row>
    <row r="6" spans="2:15" ht="18.75" x14ac:dyDescent="0.3">
      <c r="B6" s="11" t="s">
        <v>9</v>
      </c>
      <c r="C6" s="12">
        <v>4767.3999999999996</v>
      </c>
      <c r="D6" s="12">
        <v>3557.4</v>
      </c>
      <c r="E6" s="1"/>
      <c r="F6" s="12"/>
      <c r="G6" s="13"/>
      <c r="H6" s="12"/>
      <c r="I6" s="13"/>
      <c r="J6" s="12"/>
      <c r="K6" s="13"/>
      <c r="L6" s="12"/>
      <c r="M6" s="12" t="s">
        <v>10</v>
      </c>
      <c r="N6" s="14">
        <v>32000</v>
      </c>
      <c r="O6" s="14">
        <v>0</v>
      </c>
    </row>
    <row r="7" spans="2:15" ht="18.75" x14ac:dyDescent="0.3">
      <c r="B7" s="11"/>
      <c r="C7" s="12"/>
      <c r="D7" s="15"/>
      <c r="E7" s="1"/>
      <c r="F7" s="12"/>
      <c r="G7" s="13"/>
      <c r="H7" s="12"/>
      <c r="I7" s="13"/>
      <c r="J7" s="12"/>
      <c r="K7" s="13"/>
      <c r="L7" s="12"/>
      <c r="M7" s="12" t="s">
        <v>11</v>
      </c>
      <c r="N7" s="12">
        <v>5000</v>
      </c>
      <c r="O7" s="12">
        <v>5000</v>
      </c>
    </row>
    <row r="8" spans="2:15" ht="18.75" x14ac:dyDescent="0.3">
      <c r="B8" s="16" t="s">
        <v>12</v>
      </c>
      <c r="C8" s="17">
        <f>SUM(C4:C7)</f>
        <v>40031.890000000007</v>
      </c>
      <c r="D8" s="17">
        <f>SUM(D4:D7)</f>
        <v>11533.13</v>
      </c>
      <c r="E8" s="1"/>
      <c r="F8" s="17">
        <f>SUM(F4:F7)</f>
        <v>14579.15</v>
      </c>
      <c r="G8" s="18"/>
      <c r="H8" s="17">
        <f>SUM(H4:H7)</f>
        <v>16793.93</v>
      </c>
      <c r="I8" s="18"/>
      <c r="J8" s="17">
        <f>SUM(J4:J7)</f>
        <v>15937.42</v>
      </c>
      <c r="K8" s="18"/>
      <c r="L8" s="17">
        <f>SUM(L4:L7)</f>
        <v>11253.21</v>
      </c>
      <c r="M8" s="17" t="str">
        <f>+B8</f>
        <v>TOTAAL:</v>
      </c>
      <c r="N8" s="17">
        <f>SUM(N4:N7)</f>
        <v>40031.89</v>
      </c>
      <c r="O8" s="17">
        <f>SUM(O4:O7)</f>
        <v>11533.13</v>
      </c>
    </row>
    <row r="9" spans="2:15" x14ac:dyDescent="0.25">
      <c r="B9" s="19"/>
      <c r="C9" s="20"/>
      <c r="D9" s="20"/>
      <c r="E9" s="20"/>
      <c r="F9" s="14"/>
      <c r="G9" s="13"/>
      <c r="H9" s="21"/>
      <c r="I9" s="13"/>
      <c r="J9" s="21"/>
      <c r="K9" s="13"/>
      <c r="L9" s="21"/>
    </row>
    <row r="10" spans="2:15" ht="18.75" x14ac:dyDescent="0.3">
      <c r="E10" s="1"/>
      <c r="F10" s="8">
        <v>2021</v>
      </c>
      <c r="G10" s="9"/>
      <c r="H10" s="8">
        <v>2020</v>
      </c>
      <c r="I10" s="9"/>
      <c r="J10" s="8">
        <v>2019</v>
      </c>
      <c r="K10" s="9"/>
      <c r="L10" s="8">
        <v>2018</v>
      </c>
    </row>
    <row r="11" spans="2:15" ht="18.75" x14ac:dyDescent="0.3">
      <c r="B11" s="6" t="s">
        <v>13</v>
      </c>
      <c r="C11" s="23" t="s">
        <v>3</v>
      </c>
      <c r="D11" s="8">
        <v>2022</v>
      </c>
      <c r="E11" s="1"/>
      <c r="F11" s="7" t="s">
        <v>14</v>
      </c>
      <c r="G11" s="24"/>
      <c r="H11" s="25">
        <f>+H3</f>
        <v>2020</v>
      </c>
      <c r="I11" s="24"/>
      <c r="J11" s="25">
        <f>+J3</f>
        <v>2019</v>
      </c>
      <c r="K11" s="24"/>
      <c r="L11" s="25">
        <f>+L3</f>
        <v>2018</v>
      </c>
      <c r="M11" s="8" t="s">
        <v>15</v>
      </c>
      <c r="N11" s="23" t="s">
        <v>3</v>
      </c>
      <c r="O11" s="26">
        <v>2022</v>
      </c>
    </row>
    <row r="12" spans="2:15" x14ac:dyDescent="0.25">
      <c r="B12" s="11" t="s">
        <v>16</v>
      </c>
      <c r="C12" s="21">
        <v>2851.85</v>
      </c>
      <c r="D12" s="11">
        <f>1043.47-380+739.91+633.43+529.7</f>
        <v>2566.5100000000002</v>
      </c>
      <c r="E12" s="11"/>
      <c r="F12" s="12"/>
      <c r="H12" s="14"/>
      <c r="J12" s="14"/>
      <c r="L12" s="14"/>
      <c r="M12" s="12" t="s">
        <v>17</v>
      </c>
      <c r="N12" s="12">
        <f>4084.86+1141.01+344.49</f>
        <v>5570.36</v>
      </c>
      <c r="O12" s="28">
        <f>3991.02+950.38-380+313.29</f>
        <v>4874.6899999999996</v>
      </c>
    </row>
    <row r="13" spans="2:15" x14ac:dyDescent="0.25">
      <c r="B13" s="11" t="s">
        <v>18</v>
      </c>
      <c r="C13" s="21">
        <v>2177.65</v>
      </c>
      <c r="D13" s="11">
        <v>1097.5</v>
      </c>
      <c r="E13" s="11"/>
      <c r="F13" s="12">
        <f>220+225.51+477+167.5</f>
        <v>1090.01</v>
      </c>
      <c r="G13" s="13"/>
      <c r="H13" s="14">
        <f>151.3+5.24+424.95+417.21+300</f>
        <v>1298.7</v>
      </c>
      <c r="I13" s="13"/>
      <c r="J13" s="14">
        <f>136+378.53+1279.5+579.47+566.42</f>
        <v>2939.92</v>
      </c>
      <c r="K13" s="13"/>
      <c r="L13" s="14"/>
      <c r="M13" s="12" t="s">
        <v>19</v>
      </c>
      <c r="N13" s="12">
        <f>210.77+189.77+210.43</f>
        <v>610.97</v>
      </c>
      <c r="O13" s="28">
        <f>190.27+210.43+621.7-1</f>
        <v>1021.4000000000001</v>
      </c>
    </row>
    <row r="14" spans="2:15" x14ac:dyDescent="0.25">
      <c r="B14" s="11" t="s">
        <v>20</v>
      </c>
      <c r="C14" s="21">
        <v>500</v>
      </c>
      <c r="D14" s="11">
        <v>256.43</v>
      </c>
      <c r="E14" s="11"/>
      <c r="F14" s="12">
        <v>770</v>
      </c>
      <c r="G14" s="13"/>
      <c r="H14" s="14">
        <v>240.5</v>
      </c>
      <c r="I14" s="13"/>
      <c r="J14" s="14">
        <v>927</v>
      </c>
      <c r="K14" s="13"/>
      <c r="L14" s="14"/>
      <c r="M14" s="12" t="s">
        <v>21</v>
      </c>
      <c r="N14" s="12">
        <v>2353.71</v>
      </c>
      <c r="O14" s="28">
        <f>350.05+167.34+342.21+210.77</f>
        <v>1070.3699999999999</v>
      </c>
    </row>
    <row r="15" spans="2:15" x14ac:dyDescent="0.25">
      <c r="B15" s="11" t="s">
        <v>22</v>
      </c>
      <c r="C15" s="21">
        <v>59.23</v>
      </c>
      <c r="D15" s="11">
        <v>0</v>
      </c>
      <c r="E15" s="11"/>
      <c r="F15" s="12">
        <v>5540</v>
      </c>
      <c r="H15" s="14">
        <f>352.69+2176+1960+5000</f>
        <v>9488.69</v>
      </c>
      <c r="J15" s="14">
        <f>1130+1101.1+5000</f>
        <v>7231.1</v>
      </c>
      <c r="L15" s="14">
        <v>5000</v>
      </c>
      <c r="M15" s="12" t="s">
        <v>23</v>
      </c>
      <c r="N15" s="12">
        <v>554.92999999999995</v>
      </c>
      <c r="O15" s="28"/>
    </row>
    <row r="16" spans="2:15" x14ac:dyDescent="0.25">
      <c r="B16" s="16" t="s">
        <v>12</v>
      </c>
      <c r="C16" s="29">
        <f>SUM(C12:C15)</f>
        <v>5588.73</v>
      </c>
      <c r="D16" s="16">
        <f>SUM(D12:D15)</f>
        <v>3920.44</v>
      </c>
      <c r="E16" s="11"/>
      <c r="F16" s="12"/>
      <c r="G16" s="13"/>
      <c r="H16" s="14"/>
      <c r="I16" s="13"/>
      <c r="J16" s="14">
        <v>4.9400000000000004</v>
      </c>
      <c r="K16" s="13"/>
      <c r="L16" s="14"/>
      <c r="M16" s="17" t="s">
        <v>12</v>
      </c>
      <c r="N16" s="17">
        <f>SUM(N12:N15)</f>
        <v>9089.9700000000012</v>
      </c>
      <c r="O16" s="17">
        <f>SUM(O12:O15)</f>
        <v>6966.46</v>
      </c>
    </row>
    <row r="17" spans="2:16" s="3" customFormat="1" x14ac:dyDescent="0.25">
      <c r="B17" s="9"/>
      <c r="C17" s="18"/>
      <c r="D17" s="9"/>
      <c r="E17" s="9"/>
      <c r="F17" s="18"/>
      <c r="G17" s="18"/>
      <c r="H17" s="18"/>
      <c r="I17" s="18"/>
      <c r="J17" s="18"/>
      <c r="K17" s="18"/>
      <c r="L17" s="18"/>
      <c r="M17" s="18" t="s">
        <v>24</v>
      </c>
      <c r="N17" s="18">
        <f>+C16-N16</f>
        <v>-3501.2400000000016</v>
      </c>
      <c r="O17" s="18">
        <f>+D16-O16</f>
        <v>-3046.02</v>
      </c>
      <c r="P17"/>
    </row>
    <row r="18" spans="2:16" x14ac:dyDescent="0.25">
      <c r="F18" s="8">
        <v>2021</v>
      </c>
      <c r="G18" s="18"/>
      <c r="H18" s="8">
        <v>2020</v>
      </c>
      <c r="M18" s="18"/>
      <c r="N18" s="22"/>
    </row>
    <row r="19" spans="2:16" x14ac:dyDescent="0.25">
      <c r="B19" t="s">
        <v>25</v>
      </c>
    </row>
    <row r="20" spans="2:16" x14ac:dyDescent="0.25">
      <c r="F20" s="22">
        <f>3941.5+765.55+311.15</f>
        <v>5018.2</v>
      </c>
      <c r="G20" s="18"/>
      <c r="H20" s="22">
        <f>3883.38+1059.73+281.57</f>
        <v>5224.68</v>
      </c>
      <c r="J20">
        <f>3819.9+1436.97+--251.97+268.62</f>
        <v>5777.46</v>
      </c>
    </row>
    <row r="21" spans="2:16" x14ac:dyDescent="0.25">
      <c r="F21">
        <f>193.04+150.46+755.21</f>
        <v>1098.71</v>
      </c>
      <c r="G21" s="18"/>
      <c r="H21">
        <f>21.09+138.59+426.5</f>
        <v>586.18000000000006</v>
      </c>
    </row>
    <row r="22" spans="2:16" x14ac:dyDescent="0.25">
      <c r="F22">
        <f>50+101.06+122.13+184.69</f>
        <v>457.88</v>
      </c>
      <c r="G22" s="18"/>
      <c r="H22">
        <f>395.37+52.39+564.07</f>
        <v>1011.83</v>
      </c>
      <c r="J22">
        <f>168.49+689.99+211.38</f>
        <v>1069.8600000000001</v>
      </c>
    </row>
    <row r="23" spans="2:16" x14ac:dyDescent="0.25">
      <c r="F23" s="22">
        <v>0</v>
      </c>
      <c r="G23" s="18"/>
      <c r="H23" s="22">
        <f>352.69+2176+1960</f>
        <v>4488.6900000000005</v>
      </c>
      <c r="J23">
        <v>1101.0999999999999</v>
      </c>
    </row>
    <row r="24" spans="2:16" x14ac:dyDescent="0.25">
      <c r="F24" s="17">
        <f>SUM(F20:F23)</f>
        <v>6574.79</v>
      </c>
      <c r="G24" s="18"/>
      <c r="H24" s="17">
        <f>SUM(H20:H23)</f>
        <v>11311.380000000001</v>
      </c>
      <c r="J24" s="31">
        <f>SUM(J20:J23)</f>
        <v>7948.42</v>
      </c>
    </row>
    <row r="25" spans="2:16" x14ac:dyDescent="0.25">
      <c r="F25" s="18"/>
      <c r="G25" s="18"/>
    </row>
    <row r="26" spans="2:16" x14ac:dyDescent="0.25">
      <c r="F26" s="30" t="e">
        <f>+#REF!-F24</f>
        <v>#REF!</v>
      </c>
      <c r="G26" s="18"/>
      <c r="H26" s="30" t="e">
        <f>+#REF!-H24</f>
        <v>#REF!</v>
      </c>
      <c r="J26" s="30" t="e">
        <f>+#REF!-J24</f>
        <v>#REF!</v>
      </c>
    </row>
    <row r="27" spans="2:16" x14ac:dyDescent="0.25">
      <c r="F27" s="18"/>
      <c r="G27" s="18"/>
    </row>
    <row r="28" spans="2:16" x14ac:dyDescent="0.25">
      <c r="B28" s="18"/>
      <c r="F28" s="18"/>
      <c r="G28" s="18"/>
    </row>
    <row r="29" spans="2:16" hidden="1" x14ac:dyDescent="0.25">
      <c r="B29" s="32" t="s">
        <v>26</v>
      </c>
      <c r="C29" s="33"/>
      <c r="D29" s="32"/>
      <c r="E29" s="3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2024-10-31T15:41:50Z</dcterms:created>
  <dcterms:modified xsi:type="dcterms:W3CDTF">2024-12-05T14:59:05Z</dcterms:modified>
</cp:coreProperties>
</file>